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puts" sheetId="2" state="visible" r:id="rId2"/>
    <sheet xmlns:r="http://schemas.openxmlformats.org/officeDocument/2006/relationships" name="Calculator" sheetId="3" state="visible" r:id="rId3"/>
    <sheet xmlns:r="http://schemas.openxmlformats.org/officeDocument/2006/relationships" name="Profit vs spend" sheetId="4" state="visible" r:id="rId4"/>
  </sheets>
  <definedNames>
    <definedName name="price">Inputs!$B$4</definedName>
    <definedName name="cogs">Inputs!$B$5</definedName>
    <definedName name="ship">Inputs!$B$6</definedName>
    <definedName name="fee_pct">Inputs!$B$7</definedName>
    <definedName name="fee_fix">Inputs!$B$8</definedName>
    <definedName name="returns">Inputs!$B$9</definedName>
    <definedName name="repeat">Inputs!$B$10</definedName>
    <definedName name="target_profit">Inputs!$B$11</definedName>
    <definedName name="curve_a">Inputs!$B$12</definedName>
    <definedName name="curve_k">Inputs!$B$13</definedName>
    <definedName name="cur_spend">Inputs!$B$14</definedName>
    <definedName name="step">Inputs!$B$15</definedName>
    <definedName name="gross">Calculator!$B$4</definedName>
    <definedName name="net_rev">Calculator!$B$6</definedName>
    <definedName name="cpo">Calculator!$B$10</definedName>
    <definedName name="cm">Calculator!$B$11</definedName>
    <definedName name="xstar">Calculator!$B$18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#,##0.0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3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0B2440"/>
      </patternFill>
    </fill>
    <fill>
      <patternFill patternType="solid">
        <fgColor rgb="00FFF7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4" fontId="0" fillId="3" borderId="1" pivotButton="0" quotePrefix="0" xfId="0"/>
    <xf numFmtId="164" fontId="0" fillId="3" borderId="1" pivotButton="0" quotePrefix="0" xfId="0"/>
    <xf numFmtId="4" fontId="0" fillId="0" borderId="1" pivotButton="0" quotePrefix="0" xfId="0"/>
    <xf numFmtId="0" fontId="5" fillId="0" borderId="0" pivotButton="0" quotePrefix="0" xfId="0"/>
    <xf numFmtId="4" fontId="5" fillId="0" borderId="1" pivotButton="0" quotePrefix="0" xfId="0"/>
    <xf numFmtId="164" fontId="5" fillId="0" borderId="1" pivotButton="0" quotePrefix="0" xfId="0"/>
    <xf numFmtId="165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after advertising vs spend</a:t>
            </a:r>
          </a:p>
        </rich>
      </tx>
    </title>
    <plotArea>
      <lineChart>
        <grouping val="standard"/>
        <ser>
          <idx val="0"/>
          <order val="0"/>
          <tx>
            <strRef>
              <f>'Profit vs spend'!C3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'Profit vs spend'!$A$4:$A$64</f>
            </numRef>
          </cat>
          <val>
            <numRef>
              <f>'Profit vs spend'!$C$4:$C$64</f>
            </numRef>
          </val>
        </ser>
        <ser>
          <idx val="1"/>
          <order val="1"/>
          <tx>
            <strRef>
              <f>'Profit vs spend'!D3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'Profit vs spend'!$A$4:$A$64</f>
            </numRef>
          </cat>
          <val>
            <numRef>
              <f>'Profit vs spend'!$D$4:$D$64</f>
            </numRef>
          </val>
        </ser>
        <ser>
          <idx val="2"/>
          <order val="2"/>
          <tx>
            <strRef>
              <f>'Profit vs spend'!A3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'Profit vs spend'!$A$4:$A$64</f>
            </numRef>
          </cat>
          <val>
            <numRef>
              <f>'Profit vs spend'!$A$4:$A$64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Spend ($k)</a:t>
                </a:r>
              </a:p>
            </rich>
          </tx>
        </title>
        <majorTickMark val="none"/>
        <minorTickMark val="none"/>
        <crossAx val="100"/>
        <lblOffset val="100"/>
        <tickLblSkip val="1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$k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Average vs marginal ROAS (breakeven dashed)</a:t>
            </a:r>
          </a:p>
        </rich>
      </tx>
    </title>
    <plotArea>
      <lineChart>
        <grouping val="standard"/>
        <ser>
          <idx val="0"/>
          <order val="0"/>
          <tx>
            <strRef>
              <f>'Profit vs spend'!E3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'Profit vs spend'!$A$4:$A$64</f>
            </numRef>
          </cat>
          <val>
            <numRef>
              <f>'Profit vs spend'!$E$4:$E$64</f>
            </numRef>
          </val>
        </ser>
        <ser>
          <idx val="1"/>
          <order val="1"/>
          <tx>
            <strRef>
              <f>'Profit vs spend'!F3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'Profit vs spend'!$A$4:$A$64</f>
            </numRef>
          </cat>
          <val>
            <numRef>
              <f>'Profit vs spend'!$F$4:$F$64</f>
            </numRef>
          </val>
        </ser>
        <ser>
          <idx val="2"/>
          <order val="2"/>
          <tx>
            <strRef>
              <f>'Profit vs spend'!G3</f>
            </strRef>
          </tx>
          <spPr>
            <a:ln xmlns:a="http://schemas.openxmlformats.org/drawingml/2006/main"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'Profit vs spend'!$A$4:$A$64</f>
            </numRef>
          </cat>
          <val>
            <numRef>
              <f>'Profit vs spend'!$G$4:$G$64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  <tickLblSkip val="1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8</col>
      <colOff>0</colOff>
      <row>2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22</row>
      <rowOff>0</rowOff>
    </from>
    <ext cx="648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Breakeven ROAS &amp; contribution margin calculator</t>
        </is>
      </c>
    </row>
    <row r="2">
      <c r="A2" t="inlineStr">
        <is>
          <t>Vexpower MMM library: vexpower.com/mmm/breakeven-roas</t>
        </is>
      </c>
    </row>
    <row r="3">
      <c r="A3" t="inlineStr"/>
    </row>
    <row r="4">
      <c r="A4" s="2" t="inlineStr">
        <is>
          <t>What it does</t>
        </is>
      </c>
    </row>
    <row r="5">
      <c r="A5" t="inlineStr">
        <is>
          <t>1. Inputs: type your unit economics and an incremental response curve into the yellow cells.</t>
        </is>
      </c>
    </row>
    <row r="6">
      <c r="A6" t="inlineStr">
        <is>
          <t>2. Calculator: contribution per order, contribution margin before advertising, breakeven ROAS and CPA, target ROAS.</t>
        </is>
      </c>
    </row>
    <row r="7">
      <c r="A7" t="inlineStr">
        <is>
          <t>3. Profit vs spend: incremental revenue, contribution and profit after advertising at each spend level, with a chart.</t>
        </is>
      </c>
    </row>
    <row r="8">
      <c r="A8" t="inlineStr"/>
    </row>
    <row r="9">
      <c r="A9" s="2" t="inlineStr">
        <is>
          <t>Key formulas</t>
        </is>
      </c>
    </row>
    <row r="10">
      <c r="A10" t="inlineStr">
        <is>
          <t>Contribution margin (CM) = contribution per order / gross order value, where contribution is before any advertising.</t>
        </is>
      </c>
    </row>
    <row r="11">
      <c r="A11" t="inlineStr">
        <is>
          <t>Breakeven ROAS = 1 / CM. Breakeven CPA = contribution per order.</t>
        </is>
      </c>
    </row>
    <row r="12">
      <c r="A12" t="inlineStr">
        <is>
          <t>Target ROAS for a profit share p of revenue after ads = 1 / (CM - p).</t>
        </is>
      </c>
    </row>
    <row r="13">
      <c r="A13" t="inlineStr">
        <is>
          <t>Incremental revenue R(x) = a * x / (k + x). Profit(x) = CM * R(x) - x.</t>
        </is>
      </c>
    </row>
    <row r="14">
      <c r="A14" t="inlineStr">
        <is>
          <t>Profit-maximizing spend x* = SQRT(a * k * CM) - k, where marginal ROAS = breakeven ROAS.</t>
        </is>
      </c>
    </row>
    <row r="15">
      <c r="A15" t="inlineStr"/>
    </row>
    <row r="16">
      <c r="A16" s="2" t="inlineStr">
        <is>
          <t>Assumptions</t>
        </is>
      </c>
    </row>
    <row r="17">
      <c r="A17" t="inlineStr">
        <is>
          <t>Returned orders are refunded in full; the product is restocked; outbound shipping and payment fees are lost.</t>
        </is>
      </c>
    </row>
    <row r="18">
      <c r="A18" t="inlineStr">
        <is>
          <t>ROAS is measured on gross order revenue (what ad platforms report) and must be INCREMENTAL revenue, from an MMM or experiment.</t>
        </is>
      </c>
    </row>
    <row r="19">
      <c r="A19" t="inlineStr">
        <is>
          <t>Repeat orders are valued at the same contribution as the first order, undiscounted.</t>
        </is>
      </c>
    </row>
    <row r="20">
      <c r="A20" t="inlineStr">
        <is>
          <t>Fixed costs, overheads, tax and financing costs are excluded, so positive contribution is not accounting profit.</t>
        </is>
      </c>
    </row>
    <row r="21">
      <c r="A21" t="inlineStr">
        <is>
          <t>The default response curve is invented for illustration. Replace a and k with your own model's curve (same units as spend).</t>
        </is>
      </c>
    </row>
    <row r="22">
      <c r="A22" t="inlineStr">
        <is>
          <t>Do not subtract advertising twice: if your finance team's margin already includes marketing costs, use a margin before advertising.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0" customWidth="1" min="3" max="3"/>
  </cols>
  <sheetData>
    <row r="1">
      <c r="A1" s="3" t="inlineStr">
        <is>
          <t>Inputs (edit the yellow cells)</t>
        </is>
      </c>
    </row>
    <row r="3">
      <c r="A3" s="4" t="inlineStr">
        <is>
          <t>Input</t>
        </is>
      </c>
      <c r="B3" s="4" t="inlineStr">
        <is>
          <t>Value</t>
        </is>
      </c>
      <c r="C3" s="4" t="inlineStr">
        <is>
          <t>Unit</t>
        </is>
      </c>
    </row>
    <row r="4">
      <c r="A4" t="inlineStr">
        <is>
          <t>Average order value</t>
        </is>
      </c>
      <c r="B4" s="5" t="n">
        <v>80</v>
      </c>
      <c r="C4" t="inlineStr">
        <is>
          <t>$</t>
        </is>
      </c>
    </row>
    <row r="5">
      <c r="A5" t="inlineStr">
        <is>
          <t>Product cost (COGS) per order</t>
        </is>
      </c>
      <c r="B5" s="5" t="n">
        <v>28</v>
      </c>
      <c r="C5" t="inlineStr">
        <is>
          <t>$</t>
        </is>
      </c>
    </row>
    <row r="6">
      <c r="A6" t="inlineStr">
        <is>
          <t>Shipping + fulfillment per order</t>
        </is>
      </c>
      <c r="B6" s="5" t="n">
        <v>9</v>
      </c>
      <c r="C6" t="inlineStr">
        <is>
          <t>$</t>
        </is>
      </c>
    </row>
    <row r="7">
      <c r="A7" t="inlineStr">
        <is>
          <t>Payment fee, % of order value</t>
        </is>
      </c>
      <c r="B7" s="6" t="n">
        <v>0.029</v>
      </c>
      <c r="C7" t="inlineStr">
        <is>
          <t>%</t>
        </is>
      </c>
    </row>
    <row r="8">
      <c r="A8" t="inlineStr">
        <is>
          <t>Payment fee, fixed per order</t>
        </is>
      </c>
      <c r="B8" s="5" t="n">
        <v>0.3</v>
      </c>
      <c r="C8" t="inlineStr">
        <is>
          <t>$</t>
        </is>
      </c>
    </row>
    <row r="9">
      <c r="A9" t="inlineStr">
        <is>
          <t>Returns, % of revenue refunded</t>
        </is>
      </c>
      <c r="B9" s="6" t="n">
        <v>0.08</v>
      </c>
      <c r="C9" t="inlineStr">
        <is>
          <t>%</t>
        </is>
      </c>
    </row>
    <row r="10">
      <c r="A10" t="inlineStr">
        <is>
          <t>Repeat orders per new customer (e.g. 12 months)</t>
        </is>
      </c>
      <c r="B10" s="5" t="n">
        <v>0</v>
      </c>
      <c r="C10" t="inlineStr">
        <is>
          <t>orders</t>
        </is>
      </c>
    </row>
    <row r="11">
      <c r="A11" t="inlineStr">
        <is>
          <t>Target profit after ads, % of revenue</t>
        </is>
      </c>
      <c r="B11" s="6" t="n">
        <v>0.1</v>
      </c>
      <c r="C11" t="inlineStr">
        <is>
          <t>%</t>
        </is>
      </c>
    </row>
    <row r="12">
      <c r="A12" t="inlineStr">
        <is>
          <t>Response curve: max incremental revenue a</t>
        </is>
      </c>
      <c r="B12" s="5" t="n">
        <v>1000</v>
      </c>
      <c r="C12" t="inlineStr">
        <is>
          <t>$k</t>
        </is>
      </c>
    </row>
    <row r="13">
      <c r="A13" t="inlineStr">
        <is>
          <t>Response curve: half-saturation spend k</t>
        </is>
      </c>
      <c r="B13" s="5" t="n">
        <v>100</v>
      </c>
      <c r="C13" t="inlineStr">
        <is>
          <t>$k</t>
        </is>
      </c>
    </row>
    <row r="14">
      <c r="A14" t="inlineStr">
        <is>
          <t>Current spend per period</t>
        </is>
      </c>
      <c r="B14" s="5" t="n">
        <v>200</v>
      </c>
      <c r="C14" t="inlineStr">
        <is>
          <t>$k</t>
        </is>
      </c>
    </row>
    <row r="15">
      <c r="A15" t="inlineStr">
        <is>
          <t>Spend step for the profit table</t>
        </is>
      </c>
      <c r="B15" s="5" t="n">
        <v>10</v>
      </c>
      <c r="C15" t="inlineStr">
        <is>
          <t>$k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54" customWidth="1" min="1" max="1"/>
    <col width="16" customWidth="1" min="2" max="2"/>
  </cols>
  <sheetData>
    <row r="1">
      <c r="A1" s="3" t="inlineStr">
        <is>
          <t>Contribution margin and breakeven</t>
        </is>
      </c>
    </row>
    <row r="3">
      <c r="A3" s="4" t="inlineStr">
        <is>
          <t>Line</t>
        </is>
      </c>
      <c r="B3" s="4" t="inlineStr">
        <is>
          <t>Value</t>
        </is>
      </c>
      <c r="C3" s="4" t="inlineStr">
        <is>
          <t>Unit</t>
        </is>
      </c>
    </row>
    <row r="4">
      <c r="A4" t="inlineStr">
        <is>
          <t>Gross order value</t>
        </is>
      </c>
      <c r="B4" s="7">
        <f>price</f>
        <v/>
      </c>
      <c r="C4" t="inlineStr">
        <is>
          <t>$</t>
        </is>
      </c>
    </row>
    <row r="5">
      <c r="A5" t="inlineStr">
        <is>
          <t>Refunds (returns)</t>
        </is>
      </c>
      <c r="B5" s="7">
        <f>price*returns</f>
        <v/>
      </c>
      <c r="C5" t="inlineStr">
        <is>
          <t>$</t>
        </is>
      </c>
    </row>
    <row r="6">
      <c r="A6" t="inlineStr">
        <is>
          <t>Net revenue per order</t>
        </is>
      </c>
      <c r="B6" s="7">
        <f>price*(1-returns)</f>
        <v/>
      </c>
      <c r="C6" t="inlineStr">
        <is>
          <t>$</t>
        </is>
      </c>
    </row>
    <row r="7">
      <c r="A7" t="inlineStr">
        <is>
          <t>Product cost on kept orders</t>
        </is>
      </c>
      <c r="B7" s="7">
        <f>cogs*(1-returns)</f>
        <v/>
      </c>
      <c r="C7" t="inlineStr">
        <is>
          <t>$</t>
        </is>
      </c>
    </row>
    <row r="8">
      <c r="A8" t="inlineStr">
        <is>
          <t>Shipping + fulfillment</t>
        </is>
      </c>
      <c r="B8" s="7">
        <f>ship</f>
        <v/>
      </c>
      <c r="C8" t="inlineStr">
        <is>
          <t>$</t>
        </is>
      </c>
    </row>
    <row r="9">
      <c r="A9" t="inlineStr">
        <is>
          <t>Payment fees</t>
        </is>
      </c>
      <c r="B9" s="7">
        <f>price*fee_pct+fee_fix</f>
        <v/>
      </c>
      <c r="C9" t="inlineStr">
        <is>
          <t>$</t>
        </is>
      </c>
    </row>
    <row r="10">
      <c r="A10" s="8" t="inlineStr">
        <is>
          <t>Contribution per order (before advertising)</t>
        </is>
      </c>
      <c r="B10" s="9">
        <f>price*(1-returns)-cogs*(1-returns)-ship-(price*fee_pct+fee_fix)</f>
        <v/>
      </c>
      <c r="C10" t="inlineStr">
        <is>
          <t>$</t>
        </is>
      </c>
    </row>
    <row r="11">
      <c r="A11" s="8" t="inlineStr">
        <is>
          <t>Contribution margin (of gross revenue)</t>
        </is>
      </c>
      <c r="B11" s="10">
        <f>IF(price&gt;0,cpo/price,0)</f>
        <v/>
      </c>
      <c r="C11" t="inlineStr">
        <is>
          <t>%</t>
        </is>
      </c>
    </row>
    <row r="12">
      <c r="A12" s="8" t="inlineStr">
        <is>
          <t>Breakeven ROAS</t>
        </is>
      </c>
      <c r="B12" s="9">
        <f>IF(cm&gt;0,1/cm,"n/a")</f>
        <v/>
      </c>
      <c r="C12" t="inlineStr">
        <is>
          <t>x</t>
        </is>
      </c>
    </row>
    <row r="13">
      <c r="A13" s="8" t="inlineStr">
        <is>
          <t>Breakeven CPA (first order only)</t>
        </is>
      </c>
      <c r="B13" s="9">
        <f>IF(cpo&gt;0,cpo,"n/a")</f>
        <v/>
      </c>
      <c r="C13" t="inlineStr">
        <is>
          <t>$</t>
        </is>
      </c>
    </row>
    <row r="14">
      <c r="A14" t="inlineStr">
        <is>
          <t>Target ROAS (for target profit after ads)</t>
        </is>
      </c>
      <c r="B14" s="7">
        <f>IF(cm&gt;target_profit,1/(cm-target_profit),"not reachable")</f>
        <v/>
      </c>
      <c r="C14" t="inlineStr">
        <is>
          <t>x</t>
        </is>
      </c>
    </row>
    <row r="15">
      <c r="A15" s="8" t="inlineStr">
        <is>
          <t>Breakeven CPA incl. repeat orders</t>
        </is>
      </c>
      <c r="B15" s="9">
        <f>IF(cpo&gt;0,cpo*(1+repeat),"n/a")</f>
        <v/>
      </c>
      <c r="C15" t="inlineStr">
        <is>
          <t>$</t>
        </is>
      </c>
    </row>
    <row r="16">
      <c r="A16" s="8" t="inlineStr">
        <is>
          <t>Breakeven ROAS on first-order revenue incl. repeats</t>
        </is>
      </c>
      <c r="B16" s="9">
        <f>IF(cm&gt;0,1/(cm*(1+repeat)),"n/a")</f>
        <v/>
      </c>
      <c r="C16" t="inlineStr">
        <is>
          <t>x</t>
        </is>
      </c>
    </row>
    <row r="17">
      <c r="A17" t="inlineStr"/>
      <c r="C17" t="inlineStr"/>
    </row>
    <row r="18">
      <c r="A18" t="inlineStr">
        <is>
          <t>Profit-maximizing spend on the response curve</t>
        </is>
      </c>
      <c r="B18" s="7">
        <f>MAX(0,SQRT(curve_a*curve_k*MAX(cm,0))-curve_k)</f>
        <v/>
      </c>
      <c r="C18" t="inlineStr">
        <is>
          <t>$k</t>
        </is>
      </c>
    </row>
    <row r="19">
      <c r="A19" t="inlineStr">
        <is>
          <t>Incremental revenue at that spend</t>
        </is>
      </c>
      <c r="B19" s="7">
        <f>curve_a*xstar/(curve_k+xstar)</f>
        <v/>
      </c>
      <c r="C19" t="inlineStr">
        <is>
          <t>$k</t>
        </is>
      </c>
    </row>
    <row r="20">
      <c r="A20" t="inlineStr">
        <is>
          <t>Profit after ads at that spend</t>
        </is>
      </c>
      <c r="B20" s="7">
        <f>cm*curve_a*xstar/(curve_k+xstar)-xstar</f>
        <v/>
      </c>
      <c r="C20" t="inlineStr">
        <is>
          <t>$k</t>
        </is>
      </c>
    </row>
    <row r="21">
      <c r="A21" t="inlineStr">
        <is>
          <t>Average ROAS at that spend</t>
        </is>
      </c>
      <c r="B21" s="7">
        <f>IF(xstar&gt;0,curve_a/(curve_k+xstar),"n/a")</f>
        <v/>
      </c>
      <c r="C21" t="inlineStr">
        <is>
          <t>x</t>
        </is>
      </c>
    </row>
    <row r="22">
      <c r="A22" t="inlineStr">
        <is>
          <t>Marginal ROAS at that spend (should equal breakeven)</t>
        </is>
      </c>
      <c r="B22" s="7">
        <f>curve_a*curve_k/(curve_k+xstar)^2</f>
        <v/>
      </c>
      <c r="C22" t="inlineStr">
        <is>
          <t>x</t>
        </is>
      </c>
    </row>
    <row r="23">
      <c r="A23" t="inlineStr">
        <is>
          <t>Profit after ads at current spend</t>
        </is>
      </c>
      <c r="B23" s="7">
        <f>cm*curve_a*cur_spend/(curve_k+cur_spend)-cur_spend</f>
        <v/>
      </c>
      <c r="C23" t="inlineStr">
        <is>
          <t>$k</t>
        </is>
      </c>
    </row>
    <row r="24">
      <c r="A24" t="inlineStr">
        <is>
          <t>Marginal ROAS at current spend</t>
        </is>
      </c>
      <c r="B24" s="7">
        <f>curve_a*curve_k/(curve_k+cur_spend)^2</f>
        <v/>
      </c>
      <c r="C24" t="inlineStr">
        <is>
          <t>x</t>
        </is>
      </c>
    </row>
    <row r="25">
      <c r="A25" t="inlineStr">
        <is>
          <t>Spend where profit after ads returns to zero</t>
        </is>
      </c>
      <c r="B25" s="7">
        <f>IF(curve_a*cm-curve_k&gt;0,curve_a*cm-curve_k,"never profitable")</f>
        <v/>
      </c>
      <c r="C25" t="inlineStr">
        <is>
          <t>$k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selection activeCell="A1" sqref="A1"/>
    </sheetView>
  </sheetViews>
  <sheetFormatPr baseColWidth="8" defaultRowHeight="15"/>
  <cols>
    <col width="10" customWidth="1" min="1" max="1"/>
    <col width="20" customWidth="1" min="2" max="2"/>
    <col width="14" customWidth="1" min="3" max="3"/>
    <col width="16" customWidth="1" min="4" max="4"/>
    <col width="14" customWidth="1" min="5" max="5"/>
    <col width="14" customWidth="1" min="6" max="6"/>
    <col width="15" customWidth="1" min="7" max="7"/>
  </cols>
  <sheetData>
    <row r="1">
      <c r="A1" s="3" t="inlineStr">
        <is>
          <t>Profit after advertising at each spend level ($k per period)</t>
        </is>
      </c>
    </row>
    <row r="3">
      <c r="A3" s="4" t="inlineStr">
        <is>
          <t>Spend</t>
        </is>
      </c>
      <c r="B3" s="4" t="inlineStr">
        <is>
          <t>Incremental revenue</t>
        </is>
      </c>
      <c r="C3" s="4" t="inlineStr">
        <is>
          <t>Contribution</t>
        </is>
      </c>
      <c r="D3" s="4" t="inlineStr">
        <is>
          <t>Profit after ads</t>
        </is>
      </c>
      <c r="E3" s="4" t="inlineStr">
        <is>
          <t>Average ROAS</t>
        </is>
      </c>
      <c r="F3" s="4" t="inlineStr">
        <is>
          <t>Marginal ROAS</t>
        </is>
      </c>
      <c r="G3" s="4" t="inlineStr">
        <is>
          <t>Breakeven ROAS</t>
        </is>
      </c>
    </row>
    <row r="4">
      <c r="A4" s="11">
        <f>0*step</f>
        <v/>
      </c>
      <c r="B4" s="11">
        <f>curve_a*A4/(curve_k+A4)</f>
        <v/>
      </c>
      <c r="C4" s="11">
        <f>cm*B4</f>
        <v/>
      </c>
      <c r="D4" s="11">
        <f>C4-A4</f>
        <v/>
      </c>
      <c r="E4" s="12">
        <f>IF(A4&gt;0,B4/A4,"")</f>
        <v/>
      </c>
      <c r="F4" s="12">
        <f>curve_a*curve_k/(curve_k+A4)^2</f>
        <v/>
      </c>
      <c r="G4" s="12">
        <f>IF(cm&gt;0,1/cm,"")</f>
        <v/>
      </c>
    </row>
    <row r="5">
      <c r="A5" s="11">
        <f>1*step</f>
        <v/>
      </c>
      <c r="B5" s="11">
        <f>curve_a*A5/(curve_k+A5)</f>
        <v/>
      </c>
      <c r="C5" s="11">
        <f>cm*B5</f>
        <v/>
      </c>
      <c r="D5" s="11">
        <f>C5-A5</f>
        <v/>
      </c>
      <c r="E5" s="12">
        <f>IF(A5&gt;0,B5/A5,"")</f>
        <v/>
      </c>
      <c r="F5" s="12">
        <f>curve_a*curve_k/(curve_k+A5)^2</f>
        <v/>
      </c>
      <c r="G5" s="12">
        <f>IF(cm&gt;0,1/cm,"")</f>
        <v/>
      </c>
    </row>
    <row r="6">
      <c r="A6" s="11">
        <f>2*step</f>
        <v/>
      </c>
      <c r="B6" s="11">
        <f>curve_a*A6/(curve_k+A6)</f>
        <v/>
      </c>
      <c r="C6" s="11">
        <f>cm*B6</f>
        <v/>
      </c>
      <c r="D6" s="11">
        <f>C6-A6</f>
        <v/>
      </c>
      <c r="E6" s="12">
        <f>IF(A6&gt;0,B6/A6,"")</f>
        <v/>
      </c>
      <c r="F6" s="12">
        <f>curve_a*curve_k/(curve_k+A6)^2</f>
        <v/>
      </c>
      <c r="G6" s="12">
        <f>IF(cm&gt;0,1/cm,"")</f>
        <v/>
      </c>
    </row>
    <row r="7">
      <c r="A7" s="11">
        <f>3*step</f>
        <v/>
      </c>
      <c r="B7" s="11">
        <f>curve_a*A7/(curve_k+A7)</f>
        <v/>
      </c>
      <c r="C7" s="11">
        <f>cm*B7</f>
        <v/>
      </c>
      <c r="D7" s="11">
        <f>C7-A7</f>
        <v/>
      </c>
      <c r="E7" s="12">
        <f>IF(A7&gt;0,B7/A7,"")</f>
        <v/>
      </c>
      <c r="F7" s="12">
        <f>curve_a*curve_k/(curve_k+A7)^2</f>
        <v/>
      </c>
      <c r="G7" s="12">
        <f>IF(cm&gt;0,1/cm,"")</f>
        <v/>
      </c>
    </row>
    <row r="8">
      <c r="A8" s="11">
        <f>4*step</f>
        <v/>
      </c>
      <c r="B8" s="11">
        <f>curve_a*A8/(curve_k+A8)</f>
        <v/>
      </c>
      <c r="C8" s="11">
        <f>cm*B8</f>
        <v/>
      </c>
      <c r="D8" s="11">
        <f>C8-A8</f>
        <v/>
      </c>
      <c r="E8" s="12">
        <f>IF(A8&gt;0,B8/A8,"")</f>
        <v/>
      </c>
      <c r="F8" s="12">
        <f>curve_a*curve_k/(curve_k+A8)^2</f>
        <v/>
      </c>
      <c r="G8" s="12">
        <f>IF(cm&gt;0,1/cm,"")</f>
        <v/>
      </c>
    </row>
    <row r="9">
      <c r="A9" s="11">
        <f>5*step</f>
        <v/>
      </c>
      <c r="B9" s="11">
        <f>curve_a*A9/(curve_k+A9)</f>
        <v/>
      </c>
      <c r="C9" s="11">
        <f>cm*B9</f>
        <v/>
      </c>
      <c r="D9" s="11">
        <f>C9-A9</f>
        <v/>
      </c>
      <c r="E9" s="12">
        <f>IF(A9&gt;0,B9/A9,"")</f>
        <v/>
      </c>
      <c r="F9" s="12">
        <f>curve_a*curve_k/(curve_k+A9)^2</f>
        <v/>
      </c>
      <c r="G9" s="12">
        <f>IF(cm&gt;0,1/cm,"")</f>
        <v/>
      </c>
    </row>
    <row r="10">
      <c r="A10" s="11">
        <f>6*step</f>
        <v/>
      </c>
      <c r="B10" s="11">
        <f>curve_a*A10/(curve_k+A10)</f>
        <v/>
      </c>
      <c r="C10" s="11">
        <f>cm*B10</f>
        <v/>
      </c>
      <c r="D10" s="11">
        <f>C10-A10</f>
        <v/>
      </c>
      <c r="E10" s="12">
        <f>IF(A10&gt;0,B10/A10,"")</f>
        <v/>
      </c>
      <c r="F10" s="12">
        <f>curve_a*curve_k/(curve_k+A10)^2</f>
        <v/>
      </c>
      <c r="G10" s="12">
        <f>IF(cm&gt;0,1/cm,"")</f>
        <v/>
      </c>
    </row>
    <row r="11">
      <c r="A11" s="11">
        <f>7*step</f>
        <v/>
      </c>
      <c r="B11" s="11">
        <f>curve_a*A11/(curve_k+A11)</f>
        <v/>
      </c>
      <c r="C11" s="11">
        <f>cm*B11</f>
        <v/>
      </c>
      <c r="D11" s="11">
        <f>C11-A11</f>
        <v/>
      </c>
      <c r="E11" s="12">
        <f>IF(A11&gt;0,B11/A11,"")</f>
        <v/>
      </c>
      <c r="F11" s="12">
        <f>curve_a*curve_k/(curve_k+A11)^2</f>
        <v/>
      </c>
      <c r="G11" s="12">
        <f>IF(cm&gt;0,1/cm,"")</f>
        <v/>
      </c>
    </row>
    <row r="12">
      <c r="A12" s="11">
        <f>8*step</f>
        <v/>
      </c>
      <c r="B12" s="11">
        <f>curve_a*A12/(curve_k+A12)</f>
        <v/>
      </c>
      <c r="C12" s="11">
        <f>cm*B12</f>
        <v/>
      </c>
      <c r="D12" s="11">
        <f>C12-A12</f>
        <v/>
      </c>
      <c r="E12" s="12">
        <f>IF(A12&gt;0,B12/A12,"")</f>
        <v/>
      </c>
      <c r="F12" s="12">
        <f>curve_a*curve_k/(curve_k+A12)^2</f>
        <v/>
      </c>
      <c r="G12" s="12">
        <f>IF(cm&gt;0,1/cm,"")</f>
        <v/>
      </c>
    </row>
    <row r="13">
      <c r="A13" s="11">
        <f>9*step</f>
        <v/>
      </c>
      <c r="B13" s="11">
        <f>curve_a*A13/(curve_k+A13)</f>
        <v/>
      </c>
      <c r="C13" s="11">
        <f>cm*B13</f>
        <v/>
      </c>
      <c r="D13" s="11">
        <f>C13-A13</f>
        <v/>
      </c>
      <c r="E13" s="12">
        <f>IF(A13&gt;0,B13/A13,"")</f>
        <v/>
      </c>
      <c r="F13" s="12">
        <f>curve_a*curve_k/(curve_k+A13)^2</f>
        <v/>
      </c>
      <c r="G13" s="12">
        <f>IF(cm&gt;0,1/cm,"")</f>
        <v/>
      </c>
    </row>
    <row r="14">
      <c r="A14" s="11">
        <f>10*step</f>
        <v/>
      </c>
      <c r="B14" s="11">
        <f>curve_a*A14/(curve_k+A14)</f>
        <v/>
      </c>
      <c r="C14" s="11">
        <f>cm*B14</f>
        <v/>
      </c>
      <c r="D14" s="11">
        <f>C14-A14</f>
        <v/>
      </c>
      <c r="E14" s="12">
        <f>IF(A14&gt;0,B14/A14,"")</f>
        <v/>
      </c>
      <c r="F14" s="12">
        <f>curve_a*curve_k/(curve_k+A14)^2</f>
        <v/>
      </c>
      <c r="G14" s="12">
        <f>IF(cm&gt;0,1/cm,"")</f>
        <v/>
      </c>
    </row>
    <row r="15">
      <c r="A15" s="11">
        <f>11*step</f>
        <v/>
      </c>
      <c r="B15" s="11">
        <f>curve_a*A15/(curve_k+A15)</f>
        <v/>
      </c>
      <c r="C15" s="11">
        <f>cm*B15</f>
        <v/>
      </c>
      <c r="D15" s="11">
        <f>C15-A15</f>
        <v/>
      </c>
      <c r="E15" s="12">
        <f>IF(A15&gt;0,B15/A15,"")</f>
        <v/>
      </c>
      <c r="F15" s="12">
        <f>curve_a*curve_k/(curve_k+A15)^2</f>
        <v/>
      </c>
      <c r="G15" s="12">
        <f>IF(cm&gt;0,1/cm,"")</f>
        <v/>
      </c>
    </row>
    <row r="16">
      <c r="A16" s="11">
        <f>12*step</f>
        <v/>
      </c>
      <c r="B16" s="11">
        <f>curve_a*A16/(curve_k+A16)</f>
        <v/>
      </c>
      <c r="C16" s="11">
        <f>cm*B16</f>
        <v/>
      </c>
      <c r="D16" s="11">
        <f>C16-A16</f>
        <v/>
      </c>
      <c r="E16" s="12">
        <f>IF(A16&gt;0,B16/A16,"")</f>
        <v/>
      </c>
      <c r="F16" s="12">
        <f>curve_a*curve_k/(curve_k+A16)^2</f>
        <v/>
      </c>
      <c r="G16" s="12">
        <f>IF(cm&gt;0,1/cm,"")</f>
        <v/>
      </c>
    </row>
    <row r="17">
      <c r="A17" s="11">
        <f>13*step</f>
        <v/>
      </c>
      <c r="B17" s="11">
        <f>curve_a*A17/(curve_k+A17)</f>
        <v/>
      </c>
      <c r="C17" s="11">
        <f>cm*B17</f>
        <v/>
      </c>
      <c r="D17" s="11">
        <f>C17-A17</f>
        <v/>
      </c>
      <c r="E17" s="12">
        <f>IF(A17&gt;0,B17/A17,"")</f>
        <v/>
      </c>
      <c r="F17" s="12">
        <f>curve_a*curve_k/(curve_k+A17)^2</f>
        <v/>
      </c>
      <c r="G17" s="12">
        <f>IF(cm&gt;0,1/cm,"")</f>
        <v/>
      </c>
    </row>
    <row r="18">
      <c r="A18" s="11">
        <f>14*step</f>
        <v/>
      </c>
      <c r="B18" s="11">
        <f>curve_a*A18/(curve_k+A18)</f>
        <v/>
      </c>
      <c r="C18" s="11">
        <f>cm*B18</f>
        <v/>
      </c>
      <c r="D18" s="11">
        <f>C18-A18</f>
        <v/>
      </c>
      <c r="E18" s="12">
        <f>IF(A18&gt;0,B18/A18,"")</f>
        <v/>
      </c>
      <c r="F18" s="12">
        <f>curve_a*curve_k/(curve_k+A18)^2</f>
        <v/>
      </c>
      <c r="G18" s="12">
        <f>IF(cm&gt;0,1/cm,"")</f>
        <v/>
      </c>
    </row>
    <row r="19">
      <c r="A19" s="11">
        <f>15*step</f>
        <v/>
      </c>
      <c r="B19" s="11">
        <f>curve_a*A19/(curve_k+A19)</f>
        <v/>
      </c>
      <c r="C19" s="11">
        <f>cm*B19</f>
        <v/>
      </c>
      <c r="D19" s="11">
        <f>C19-A19</f>
        <v/>
      </c>
      <c r="E19" s="12">
        <f>IF(A19&gt;0,B19/A19,"")</f>
        <v/>
      </c>
      <c r="F19" s="12">
        <f>curve_a*curve_k/(curve_k+A19)^2</f>
        <v/>
      </c>
      <c r="G19" s="12">
        <f>IF(cm&gt;0,1/cm,"")</f>
        <v/>
      </c>
    </row>
    <row r="20">
      <c r="A20" s="11">
        <f>16*step</f>
        <v/>
      </c>
      <c r="B20" s="11">
        <f>curve_a*A20/(curve_k+A20)</f>
        <v/>
      </c>
      <c r="C20" s="11">
        <f>cm*B20</f>
        <v/>
      </c>
      <c r="D20" s="11">
        <f>C20-A20</f>
        <v/>
      </c>
      <c r="E20" s="12">
        <f>IF(A20&gt;0,B20/A20,"")</f>
        <v/>
      </c>
      <c r="F20" s="12">
        <f>curve_a*curve_k/(curve_k+A20)^2</f>
        <v/>
      </c>
      <c r="G20" s="12">
        <f>IF(cm&gt;0,1/cm,"")</f>
        <v/>
      </c>
    </row>
    <row r="21">
      <c r="A21" s="11">
        <f>17*step</f>
        <v/>
      </c>
      <c r="B21" s="11">
        <f>curve_a*A21/(curve_k+A21)</f>
        <v/>
      </c>
      <c r="C21" s="11">
        <f>cm*B21</f>
        <v/>
      </c>
      <c r="D21" s="11">
        <f>C21-A21</f>
        <v/>
      </c>
      <c r="E21" s="12">
        <f>IF(A21&gt;0,B21/A21,"")</f>
        <v/>
      </c>
      <c r="F21" s="12">
        <f>curve_a*curve_k/(curve_k+A21)^2</f>
        <v/>
      </c>
      <c r="G21" s="12">
        <f>IF(cm&gt;0,1/cm,"")</f>
        <v/>
      </c>
    </row>
    <row r="22">
      <c r="A22" s="11">
        <f>18*step</f>
        <v/>
      </c>
      <c r="B22" s="11">
        <f>curve_a*A22/(curve_k+A22)</f>
        <v/>
      </c>
      <c r="C22" s="11">
        <f>cm*B22</f>
        <v/>
      </c>
      <c r="D22" s="11">
        <f>C22-A22</f>
        <v/>
      </c>
      <c r="E22" s="12">
        <f>IF(A22&gt;0,B22/A22,"")</f>
        <v/>
      </c>
      <c r="F22" s="12">
        <f>curve_a*curve_k/(curve_k+A22)^2</f>
        <v/>
      </c>
      <c r="G22" s="12">
        <f>IF(cm&gt;0,1/cm,"")</f>
        <v/>
      </c>
    </row>
    <row r="23">
      <c r="A23" s="11">
        <f>19*step</f>
        <v/>
      </c>
      <c r="B23" s="11">
        <f>curve_a*A23/(curve_k+A23)</f>
        <v/>
      </c>
      <c r="C23" s="11">
        <f>cm*B23</f>
        <v/>
      </c>
      <c r="D23" s="11">
        <f>C23-A23</f>
        <v/>
      </c>
      <c r="E23" s="12">
        <f>IF(A23&gt;0,B23/A23,"")</f>
        <v/>
      </c>
      <c r="F23" s="12">
        <f>curve_a*curve_k/(curve_k+A23)^2</f>
        <v/>
      </c>
      <c r="G23" s="12">
        <f>IF(cm&gt;0,1/cm,"")</f>
        <v/>
      </c>
    </row>
    <row r="24">
      <c r="A24" s="11">
        <f>20*step</f>
        <v/>
      </c>
      <c r="B24" s="11">
        <f>curve_a*A24/(curve_k+A24)</f>
        <v/>
      </c>
      <c r="C24" s="11">
        <f>cm*B24</f>
        <v/>
      </c>
      <c r="D24" s="11">
        <f>C24-A24</f>
        <v/>
      </c>
      <c r="E24" s="12">
        <f>IF(A24&gt;0,B24/A24,"")</f>
        <v/>
      </c>
      <c r="F24" s="12">
        <f>curve_a*curve_k/(curve_k+A24)^2</f>
        <v/>
      </c>
      <c r="G24" s="12">
        <f>IF(cm&gt;0,1/cm,"")</f>
        <v/>
      </c>
    </row>
    <row r="25">
      <c r="A25" s="11">
        <f>21*step</f>
        <v/>
      </c>
      <c r="B25" s="11">
        <f>curve_a*A25/(curve_k+A25)</f>
        <v/>
      </c>
      <c r="C25" s="11">
        <f>cm*B25</f>
        <v/>
      </c>
      <c r="D25" s="11">
        <f>C25-A25</f>
        <v/>
      </c>
      <c r="E25" s="12">
        <f>IF(A25&gt;0,B25/A25,"")</f>
        <v/>
      </c>
      <c r="F25" s="12">
        <f>curve_a*curve_k/(curve_k+A25)^2</f>
        <v/>
      </c>
      <c r="G25" s="12">
        <f>IF(cm&gt;0,1/cm,"")</f>
        <v/>
      </c>
    </row>
    <row r="26">
      <c r="A26" s="11">
        <f>22*step</f>
        <v/>
      </c>
      <c r="B26" s="11">
        <f>curve_a*A26/(curve_k+A26)</f>
        <v/>
      </c>
      <c r="C26" s="11">
        <f>cm*B26</f>
        <v/>
      </c>
      <c r="D26" s="11">
        <f>C26-A26</f>
        <v/>
      </c>
      <c r="E26" s="12">
        <f>IF(A26&gt;0,B26/A26,"")</f>
        <v/>
      </c>
      <c r="F26" s="12">
        <f>curve_a*curve_k/(curve_k+A26)^2</f>
        <v/>
      </c>
      <c r="G26" s="12">
        <f>IF(cm&gt;0,1/cm,"")</f>
        <v/>
      </c>
    </row>
    <row r="27">
      <c r="A27" s="11">
        <f>23*step</f>
        <v/>
      </c>
      <c r="B27" s="11">
        <f>curve_a*A27/(curve_k+A27)</f>
        <v/>
      </c>
      <c r="C27" s="11">
        <f>cm*B27</f>
        <v/>
      </c>
      <c r="D27" s="11">
        <f>C27-A27</f>
        <v/>
      </c>
      <c r="E27" s="12">
        <f>IF(A27&gt;0,B27/A27,"")</f>
        <v/>
      </c>
      <c r="F27" s="12">
        <f>curve_a*curve_k/(curve_k+A27)^2</f>
        <v/>
      </c>
      <c r="G27" s="12">
        <f>IF(cm&gt;0,1/cm,"")</f>
        <v/>
      </c>
    </row>
    <row r="28">
      <c r="A28" s="11">
        <f>24*step</f>
        <v/>
      </c>
      <c r="B28" s="11">
        <f>curve_a*A28/(curve_k+A28)</f>
        <v/>
      </c>
      <c r="C28" s="11">
        <f>cm*B28</f>
        <v/>
      </c>
      <c r="D28" s="11">
        <f>C28-A28</f>
        <v/>
      </c>
      <c r="E28" s="12">
        <f>IF(A28&gt;0,B28/A28,"")</f>
        <v/>
      </c>
      <c r="F28" s="12">
        <f>curve_a*curve_k/(curve_k+A28)^2</f>
        <v/>
      </c>
      <c r="G28" s="12">
        <f>IF(cm&gt;0,1/cm,"")</f>
        <v/>
      </c>
    </row>
    <row r="29">
      <c r="A29" s="11">
        <f>25*step</f>
        <v/>
      </c>
      <c r="B29" s="11">
        <f>curve_a*A29/(curve_k+A29)</f>
        <v/>
      </c>
      <c r="C29" s="11">
        <f>cm*B29</f>
        <v/>
      </c>
      <c r="D29" s="11">
        <f>C29-A29</f>
        <v/>
      </c>
      <c r="E29" s="12">
        <f>IF(A29&gt;0,B29/A29,"")</f>
        <v/>
      </c>
      <c r="F29" s="12">
        <f>curve_a*curve_k/(curve_k+A29)^2</f>
        <v/>
      </c>
      <c r="G29" s="12">
        <f>IF(cm&gt;0,1/cm,"")</f>
        <v/>
      </c>
    </row>
    <row r="30">
      <c r="A30" s="11">
        <f>26*step</f>
        <v/>
      </c>
      <c r="B30" s="11">
        <f>curve_a*A30/(curve_k+A30)</f>
        <v/>
      </c>
      <c r="C30" s="11">
        <f>cm*B30</f>
        <v/>
      </c>
      <c r="D30" s="11">
        <f>C30-A30</f>
        <v/>
      </c>
      <c r="E30" s="12">
        <f>IF(A30&gt;0,B30/A30,"")</f>
        <v/>
      </c>
      <c r="F30" s="12">
        <f>curve_a*curve_k/(curve_k+A30)^2</f>
        <v/>
      </c>
      <c r="G30" s="12">
        <f>IF(cm&gt;0,1/cm,"")</f>
        <v/>
      </c>
    </row>
    <row r="31">
      <c r="A31" s="11">
        <f>27*step</f>
        <v/>
      </c>
      <c r="B31" s="11">
        <f>curve_a*A31/(curve_k+A31)</f>
        <v/>
      </c>
      <c r="C31" s="11">
        <f>cm*B31</f>
        <v/>
      </c>
      <c r="D31" s="11">
        <f>C31-A31</f>
        <v/>
      </c>
      <c r="E31" s="12">
        <f>IF(A31&gt;0,B31/A31,"")</f>
        <v/>
      </c>
      <c r="F31" s="12">
        <f>curve_a*curve_k/(curve_k+A31)^2</f>
        <v/>
      </c>
      <c r="G31" s="12">
        <f>IF(cm&gt;0,1/cm,"")</f>
        <v/>
      </c>
    </row>
    <row r="32">
      <c r="A32" s="11">
        <f>28*step</f>
        <v/>
      </c>
      <c r="B32" s="11">
        <f>curve_a*A32/(curve_k+A32)</f>
        <v/>
      </c>
      <c r="C32" s="11">
        <f>cm*B32</f>
        <v/>
      </c>
      <c r="D32" s="11">
        <f>C32-A32</f>
        <v/>
      </c>
      <c r="E32" s="12">
        <f>IF(A32&gt;0,B32/A32,"")</f>
        <v/>
      </c>
      <c r="F32" s="12">
        <f>curve_a*curve_k/(curve_k+A32)^2</f>
        <v/>
      </c>
      <c r="G32" s="12">
        <f>IF(cm&gt;0,1/cm,"")</f>
        <v/>
      </c>
    </row>
    <row r="33">
      <c r="A33" s="11">
        <f>29*step</f>
        <v/>
      </c>
      <c r="B33" s="11">
        <f>curve_a*A33/(curve_k+A33)</f>
        <v/>
      </c>
      <c r="C33" s="11">
        <f>cm*B33</f>
        <v/>
      </c>
      <c r="D33" s="11">
        <f>C33-A33</f>
        <v/>
      </c>
      <c r="E33" s="12">
        <f>IF(A33&gt;0,B33/A33,"")</f>
        <v/>
      </c>
      <c r="F33" s="12">
        <f>curve_a*curve_k/(curve_k+A33)^2</f>
        <v/>
      </c>
      <c r="G33" s="12">
        <f>IF(cm&gt;0,1/cm,"")</f>
        <v/>
      </c>
    </row>
    <row r="34">
      <c r="A34" s="11">
        <f>30*step</f>
        <v/>
      </c>
      <c r="B34" s="11">
        <f>curve_a*A34/(curve_k+A34)</f>
        <v/>
      </c>
      <c r="C34" s="11">
        <f>cm*B34</f>
        <v/>
      </c>
      <c r="D34" s="11">
        <f>C34-A34</f>
        <v/>
      </c>
      <c r="E34" s="12">
        <f>IF(A34&gt;0,B34/A34,"")</f>
        <v/>
      </c>
      <c r="F34" s="12">
        <f>curve_a*curve_k/(curve_k+A34)^2</f>
        <v/>
      </c>
      <c r="G34" s="12">
        <f>IF(cm&gt;0,1/cm,"")</f>
        <v/>
      </c>
    </row>
    <row r="35">
      <c r="A35" s="11">
        <f>31*step</f>
        <v/>
      </c>
      <c r="B35" s="11">
        <f>curve_a*A35/(curve_k+A35)</f>
        <v/>
      </c>
      <c r="C35" s="11">
        <f>cm*B35</f>
        <v/>
      </c>
      <c r="D35" s="11">
        <f>C35-A35</f>
        <v/>
      </c>
      <c r="E35" s="12">
        <f>IF(A35&gt;0,B35/A35,"")</f>
        <v/>
      </c>
      <c r="F35" s="12">
        <f>curve_a*curve_k/(curve_k+A35)^2</f>
        <v/>
      </c>
      <c r="G35" s="12">
        <f>IF(cm&gt;0,1/cm,"")</f>
        <v/>
      </c>
    </row>
    <row r="36">
      <c r="A36" s="11">
        <f>32*step</f>
        <v/>
      </c>
      <c r="B36" s="11">
        <f>curve_a*A36/(curve_k+A36)</f>
        <v/>
      </c>
      <c r="C36" s="11">
        <f>cm*B36</f>
        <v/>
      </c>
      <c r="D36" s="11">
        <f>C36-A36</f>
        <v/>
      </c>
      <c r="E36" s="12">
        <f>IF(A36&gt;0,B36/A36,"")</f>
        <v/>
      </c>
      <c r="F36" s="12">
        <f>curve_a*curve_k/(curve_k+A36)^2</f>
        <v/>
      </c>
      <c r="G36" s="12">
        <f>IF(cm&gt;0,1/cm,"")</f>
        <v/>
      </c>
    </row>
    <row r="37">
      <c r="A37" s="11">
        <f>33*step</f>
        <v/>
      </c>
      <c r="B37" s="11">
        <f>curve_a*A37/(curve_k+A37)</f>
        <v/>
      </c>
      <c r="C37" s="11">
        <f>cm*B37</f>
        <v/>
      </c>
      <c r="D37" s="11">
        <f>C37-A37</f>
        <v/>
      </c>
      <c r="E37" s="12">
        <f>IF(A37&gt;0,B37/A37,"")</f>
        <v/>
      </c>
      <c r="F37" s="12">
        <f>curve_a*curve_k/(curve_k+A37)^2</f>
        <v/>
      </c>
      <c r="G37" s="12">
        <f>IF(cm&gt;0,1/cm,"")</f>
        <v/>
      </c>
    </row>
    <row r="38">
      <c r="A38" s="11">
        <f>34*step</f>
        <v/>
      </c>
      <c r="B38" s="11">
        <f>curve_a*A38/(curve_k+A38)</f>
        <v/>
      </c>
      <c r="C38" s="11">
        <f>cm*B38</f>
        <v/>
      </c>
      <c r="D38" s="11">
        <f>C38-A38</f>
        <v/>
      </c>
      <c r="E38" s="12">
        <f>IF(A38&gt;0,B38/A38,"")</f>
        <v/>
      </c>
      <c r="F38" s="12">
        <f>curve_a*curve_k/(curve_k+A38)^2</f>
        <v/>
      </c>
      <c r="G38" s="12">
        <f>IF(cm&gt;0,1/cm,"")</f>
        <v/>
      </c>
    </row>
    <row r="39">
      <c r="A39" s="11">
        <f>35*step</f>
        <v/>
      </c>
      <c r="B39" s="11">
        <f>curve_a*A39/(curve_k+A39)</f>
        <v/>
      </c>
      <c r="C39" s="11">
        <f>cm*B39</f>
        <v/>
      </c>
      <c r="D39" s="11">
        <f>C39-A39</f>
        <v/>
      </c>
      <c r="E39" s="12">
        <f>IF(A39&gt;0,B39/A39,"")</f>
        <v/>
      </c>
      <c r="F39" s="12">
        <f>curve_a*curve_k/(curve_k+A39)^2</f>
        <v/>
      </c>
      <c r="G39" s="12">
        <f>IF(cm&gt;0,1/cm,"")</f>
        <v/>
      </c>
    </row>
    <row r="40">
      <c r="A40" s="11">
        <f>36*step</f>
        <v/>
      </c>
      <c r="B40" s="11">
        <f>curve_a*A40/(curve_k+A40)</f>
        <v/>
      </c>
      <c r="C40" s="11">
        <f>cm*B40</f>
        <v/>
      </c>
      <c r="D40" s="11">
        <f>C40-A40</f>
        <v/>
      </c>
      <c r="E40" s="12">
        <f>IF(A40&gt;0,B40/A40,"")</f>
        <v/>
      </c>
      <c r="F40" s="12">
        <f>curve_a*curve_k/(curve_k+A40)^2</f>
        <v/>
      </c>
      <c r="G40" s="12">
        <f>IF(cm&gt;0,1/cm,"")</f>
        <v/>
      </c>
    </row>
    <row r="41">
      <c r="A41" s="11">
        <f>37*step</f>
        <v/>
      </c>
      <c r="B41" s="11">
        <f>curve_a*A41/(curve_k+A41)</f>
        <v/>
      </c>
      <c r="C41" s="11">
        <f>cm*B41</f>
        <v/>
      </c>
      <c r="D41" s="11">
        <f>C41-A41</f>
        <v/>
      </c>
      <c r="E41" s="12">
        <f>IF(A41&gt;0,B41/A41,"")</f>
        <v/>
      </c>
      <c r="F41" s="12">
        <f>curve_a*curve_k/(curve_k+A41)^2</f>
        <v/>
      </c>
      <c r="G41" s="12">
        <f>IF(cm&gt;0,1/cm,"")</f>
        <v/>
      </c>
    </row>
    <row r="42">
      <c r="A42" s="11">
        <f>38*step</f>
        <v/>
      </c>
      <c r="B42" s="11">
        <f>curve_a*A42/(curve_k+A42)</f>
        <v/>
      </c>
      <c r="C42" s="11">
        <f>cm*B42</f>
        <v/>
      </c>
      <c r="D42" s="11">
        <f>C42-A42</f>
        <v/>
      </c>
      <c r="E42" s="12">
        <f>IF(A42&gt;0,B42/A42,"")</f>
        <v/>
      </c>
      <c r="F42" s="12">
        <f>curve_a*curve_k/(curve_k+A42)^2</f>
        <v/>
      </c>
      <c r="G42" s="12">
        <f>IF(cm&gt;0,1/cm,"")</f>
        <v/>
      </c>
    </row>
    <row r="43">
      <c r="A43" s="11">
        <f>39*step</f>
        <v/>
      </c>
      <c r="B43" s="11">
        <f>curve_a*A43/(curve_k+A43)</f>
        <v/>
      </c>
      <c r="C43" s="11">
        <f>cm*B43</f>
        <v/>
      </c>
      <c r="D43" s="11">
        <f>C43-A43</f>
        <v/>
      </c>
      <c r="E43" s="12">
        <f>IF(A43&gt;0,B43/A43,"")</f>
        <v/>
      </c>
      <c r="F43" s="12">
        <f>curve_a*curve_k/(curve_k+A43)^2</f>
        <v/>
      </c>
      <c r="G43" s="12">
        <f>IF(cm&gt;0,1/cm,"")</f>
        <v/>
      </c>
    </row>
    <row r="44">
      <c r="A44" s="11">
        <f>40*step</f>
        <v/>
      </c>
      <c r="B44" s="11">
        <f>curve_a*A44/(curve_k+A44)</f>
        <v/>
      </c>
      <c r="C44" s="11">
        <f>cm*B44</f>
        <v/>
      </c>
      <c r="D44" s="11">
        <f>C44-A44</f>
        <v/>
      </c>
      <c r="E44" s="12">
        <f>IF(A44&gt;0,B44/A44,"")</f>
        <v/>
      </c>
      <c r="F44" s="12">
        <f>curve_a*curve_k/(curve_k+A44)^2</f>
        <v/>
      </c>
      <c r="G44" s="12">
        <f>IF(cm&gt;0,1/cm,"")</f>
        <v/>
      </c>
    </row>
    <row r="45">
      <c r="A45" s="11">
        <f>41*step</f>
        <v/>
      </c>
      <c r="B45" s="11">
        <f>curve_a*A45/(curve_k+A45)</f>
        <v/>
      </c>
      <c r="C45" s="11">
        <f>cm*B45</f>
        <v/>
      </c>
      <c r="D45" s="11">
        <f>C45-A45</f>
        <v/>
      </c>
      <c r="E45" s="12">
        <f>IF(A45&gt;0,B45/A45,"")</f>
        <v/>
      </c>
      <c r="F45" s="12">
        <f>curve_a*curve_k/(curve_k+A45)^2</f>
        <v/>
      </c>
      <c r="G45" s="12">
        <f>IF(cm&gt;0,1/cm,"")</f>
        <v/>
      </c>
    </row>
    <row r="46">
      <c r="A46" s="11">
        <f>42*step</f>
        <v/>
      </c>
      <c r="B46" s="11">
        <f>curve_a*A46/(curve_k+A46)</f>
        <v/>
      </c>
      <c r="C46" s="11">
        <f>cm*B46</f>
        <v/>
      </c>
      <c r="D46" s="11">
        <f>C46-A46</f>
        <v/>
      </c>
      <c r="E46" s="12">
        <f>IF(A46&gt;0,B46/A46,"")</f>
        <v/>
      </c>
      <c r="F46" s="12">
        <f>curve_a*curve_k/(curve_k+A46)^2</f>
        <v/>
      </c>
      <c r="G46" s="12">
        <f>IF(cm&gt;0,1/cm,"")</f>
        <v/>
      </c>
    </row>
    <row r="47">
      <c r="A47" s="11">
        <f>43*step</f>
        <v/>
      </c>
      <c r="B47" s="11">
        <f>curve_a*A47/(curve_k+A47)</f>
        <v/>
      </c>
      <c r="C47" s="11">
        <f>cm*B47</f>
        <v/>
      </c>
      <c r="D47" s="11">
        <f>C47-A47</f>
        <v/>
      </c>
      <c r="E47" s="12">
        <f>IF(A47&gt;0,B47/A47,"")</f>
        <v/>
      </c>
      <c r="F47" s="12">
        <f>curve_a*curve_k/(curve_k+A47)^2</f>
        <v/>
      </c>
      <c r="G47" s="12">
        <f>IF(cm&gt;0,1/cm,"")</f>
        <v/>
      </c>
    </row>
    <row r="48">
      <c r="A48" s="11">
        <f>44*step</f>
        <v/>
      </c>
      <c r="B48" s="11">
        <f>curve_a*A48/(curve_k+A48)</f>
        <v/>
      </c>
      <c r="C48" s="11">
        <f>cm*B48</f>
        <v/>
      </c>
      <c r="D48" s="11">
        <f>C48-A48</f>
        <v/>
      </c>
      <c r="E48" s="12">
        <f>IF(A48&gt;0,B48/A48,"")</f>
        <v/>
      </c>
      <c r="F48" s="12">
        <f>curve_a*curve_k/(curve_k+A48)^2</f>
        <v/>
      </c>
      <c r="G48" s="12">
        <f>IF(cm&gt;0,1/cm,"")</f>
        <v/>
      </c>
    </row>
    <row r="49">
      <c r="A49" s="11">
        <f>45*step</f>
        <v/>
      </c>
      <c r="B49" s="11">
        <f>curve_a*A49/(curve_k+A49)</f>
        <v/>
      </c>
      <c r="C49" s="11">
        <f>cm*B49</f>
        <v/>
      </c>
      <c r="D49" s="11">
        <f>C49-A49</f>
        <v/>
      </c>
      <c r="E49" s="12">
        <f>IF(A49&gt;0,B49/A49,"")</f>
        <v/>
      </c>
      <c r="F49" s="12">
        <f>curve_a*curve_k/(curve_k+A49)^2</f>
        <v/>
      </c>
      <c r="G49" s="12">
        <f>IF(cm&gt;0,1/cm,"")</f>
        <v/>
      </c>
    </row>
    <row r="50">
      <c r="A50" s="11">
        <f>46*step</f>
        <v/>
      </c>
      <c r="B50" s="11">
        <f>curve_a*A50/(curve_k+A50)</f>
        <v/>
      </c>
      <c r="C50" s="11">
        <f>cm*B50</f>
        <v/>
      </c>
      <c r="D50" s="11">
        <f>C50-A50</f>
        <v/>
      </c>
      <c r="E50" s="12">
        <f>IF(A50&gt;0,B50/A50,"")</f>
        <v/>
      </c>
      <c r="F50" s="12">
        <f>curve_a*curve_k/(curve_k+A50)^2</f>
        <v/>
      </c>
      <c r="G50" s="12">
        <f>IF(cm&gt;0,1/cm,"")</f>
        <v/>
      </c>
    </row>
    <row r="51">
      <c r="A51" s="11">
        <f>47*step</f>
        <v/>
      </c>
      <c r="B51" s="11">
        <f>curve_a*A51/(curve_k+A51)</f>
        <v/>
      </c>
      <c r="C51" s="11">
        <f>cm*B51</f>
        <v/>
      </c>
      <c r="D51" s="11">
        <f>C51-A51</f>
        <v/>
      </c>
      <c r="E51" s="12">
        <f>IF(A51&gt;0,B51/A51,"")</f>
        <v/>
      </c>
      <c r="F51" s="12">
        <f>curve_a*curve_k/(curve_k+A51)^2</f>
        <v/>
      </c>
      <c r="G51" s="12">
        <f>IF(cm&gt;0,1/cm,"")</f>
        <v/>
      </c>
    </row>
    <row r="52">
      <c r="A52" s="11">
        <f>48*step</f>
        <v/>
      </c>
      <c r="B52" s="11">
        <f>curve_a*A52/(curve_k+A52)</f>
        <v/>
      </c>
      <c r="C52" s="11">
        <f>cm*B52</f>
        <v/>
      </c>
      <c r="D52" s="11">
        <f>C52-A52</f>
        <v/>
      </c>
      <c r="E52" s="12">
        <f>IF(A52&gt;0,B52/A52,"")</f>
        <v/>
      </c>
      <c r="F52" s="12">
        <f>curve_a*curve_k/(curve_k+A52)^2</f>
        <v/>
      </c>
      <c r="G52" s="12">
        <f>IF(cm&gt;0,1/cm,"")</f>
        <v/>
      </c>
    </row>
    <row r="53">
      <c r="A53" s="11">
        <f>49*step</f>
        <v/>
      </c>
      <c r="B53" s="11">
        <f>curve_a*A53/(curve_k+A53)</f>
        <v/>
      </c>
      <c r="C53" s="11">
        <f>cm*B53</f>
        <v/>
      </c>
      <c r="D53" s="11">
        <f>C53-A53</f>
        <v/>
      </c>
      <c r="E53" s="12">
        <f>IF(A53&gt;0,B53/A53,"")</f>
        <v/>
      </c>
      <c r="F53" s="12">
        <f>curve_a*curve_k/(curve_k+A53)^2</f>
        <v/>
      </c>
      <c r="G53" s="12">
        <f>IF(cm&gt;0,1/cm,"")</f>
        <v/>
      </c>
    </row>
    <row r="54">
      <c r="A54" s="11">
        <f>50*step</f>
        <v/>
      </c>
      <c r="B54" s="11">
        <f>curve_a*A54/(curve_k+A54)</f>
        <v/>
      </c>
      <c r="C54" s="11">
        <f>cm*B54</f>
        <v/>
      </c>
      <c r="D54" s="11">
        <f>C54-A54</f>
        <v/>
      </c>
      <c r="E54" s="12">
        <f>IF(A54&gt;0,B54/A54,"")</f>
        <v/>
      </c>
      <c r="F54" s="12">
        <f>curve_a*curve_k/(curve_k+A54)^2</f>
        <v/>
      </c>
      <c r="G54" s="12">
        <f>IF(cm&gt;0,1/cm,"")</f>
        <v/>
      </c>
    </row>
    <row r="55">
      <c r="A55" s="11">
        <f>51*step</f>
        <v/>
      </c>
      <c r="B55" s="11">
        <f>curve_a*A55/(curve_k+A55)</f>
        <v/>
      </c>
      <c r="C55" s="11">
        <f>cm*B55</f>
        <v/>
      </c>
      <c r="D55" s="11">
        <f>C55-A55</f>
        <v/>
      </c>
      <c r="E55" s="12">
        <f>IF(A55&gt;0,B55/A55,"")</f>
        <v/>
      </c>
      <c r="F55" s="12">
        <f>curve_a*curve_k/(curve_k+A55)^2</f>
        <v/>
      </c>
      <c r="G55" s="12">
        <f>IF(cm&gt;0,1/cm,"")</f>
        <v/>
      </c>
    </row>
    <row r="56">
      <c r="A56" s="11">
        <f>52*step</f>
        <v/>
      </c>
      <c r="B56" s="11">
        <f>curve_a*A56/(curve_k+A56)</f>
        <v/>
      </c>
      <c r="C56" s="11">
        <f>cm*B56</f>
        <v/>
      </c>
      <c r="D56" s="11">
        <f>C56-A56</f>
        <v/>
      </c>
      <c r="E56" s="12">
        <f>IF(A56&gt;0,B56/A56,"")</f>
        <v/>
      </c>
      <c r="F56" s="12">
        <f>curve_a*curve_k/(curve_k+A56)^2</f>
        <v/>
      </c>
      <c r="G56" s="12">
        <f>IF(cm&gt;0,1/cm,"")</f>
        <v/>
      </c>
    </row>
    <row r="57">
      <c r="A57" s="11">
        <f>53*step</f>
        <v/>
      </c>
      <c r="B57" s="11">
        <f>curve_a*A57/(curve_k+A57)</f>
        <v/>
      </c>
      <c r="C57" s="11">
        <f>cm*B57</f>
        <v/>
      </c>
      <c r="D57" s="11">
        <f>C57-A57</f>
        <v/>
      </c>
      <c r="E57" s="12">
        <f>IF(A57&gt;0,B57/A57,"")</f>
        <v/>
      </c>
      <c r="F57" s="12">
        <f>curve_a*curve_k/(curve_k+A57)^2</f>
        <v/>
      </c>
      <c r="G57" s="12">
        <f>IF(cm&gt;0,1/cm,"")</f>
        <v/>
      </c>
    </row>
    <row r="58">
      <c r="A58" s="11">
        <f>54*step</f>
        <v/>
      </c>
      <c r="B58" s="11">
        <f>curve_a*A58/(curve_k+A58)</f>
        <v/>
      </c>
      <c r="C58" s="11">
        <f>cm*B58</f>
        <v/>
      </c>
      <c r="D58" s="11">
        <f>C58-A58</f>
        <v/>
      </c>
      <c r="E58" s="12">
        <f>IF(A58&gt;0,B58/A58,"")</f>
        <v/>
      </c>
      <c r="F58" s="12">
        <f>curve_a*curve_k/(curve_k+A58)^2</f>
        <v/>
      </c>
      <c r="G58" s="12">
        <f>IF(cm&gt;0,1/cm,"")</f>
        <v/>
      </c>
    </row>
    <row r="59">
      <c r="A59" s="11">
        <f>55*step</f>
        <v/>
      </c>
      <c r="B59" s="11">
        <f>curve_a*A59/(curve_k+A59)</f>
        <v/>
      </c>
      <c r="C59" s="11">
        <f>cm*B59</f>
        <v/>
      </c>
      <c r="D59" s="11">
        <f>C59-A59</f>
        <v/>
      </c>
      <c r="E59" s="12">
        <f>IF(A59&gt;0,B59/A59,"")</f>
        <v/>
      </c>
      <c r="F59" s="12">
        <f>curve_a*curve_k/(curve_k+A59)^2</f>
        <v/>
      </c>
      <c r="G59" s="12">
        <f>IF(cm&gt;0,1/cm,"")</f>
        <v/>
      </c>
    </row>
    <row r="60">
      <c r="A60" s="11">
        <f>56*step</f>
        <v/>
      </c>
      <c r="B60" s="11">
        <f>curve_a*A60/(curve_k+A60)</f>
        <v/>
      </c>
      <c r="C60" s="11">
        <f>cm*B60</f>
        <v/>
      </c>
      <c r="D60" s="11">
        <f>C60-A60</f>
        <v/>
      </c>
      <c r="E60" s="12">
        <f>IF(A60&gt;0,B60/A60,"")</f>
        <v/>
      </c>
      <c r="F60" s="12">
        <f>curve_a*curve_k/(curve_k+A60)^2</f>
        <v/>
      </c>
      <c r="G60" s="12">
        <f>IF(cm&gt;0,1/cm,"")</f>
        <v/>
      </c>
    </row>
    <row r="61">
      <c r="A61" s="11">
        <f>57*step</f>
        <v/>
      </c>
      <c r="B61" s="11">
        <f>curve_a*A61/(curve_k+A61)</f>
        <v/>
      </c>
      <c r="C61" s="11">
        <f>cm*B61</f>
        <v/>
      </c>
      <c r="D61" s="11">
        <f>C61-A61</f>
        <v/>
      </c>
      <c r="E61" s="12">
        <f>IF(A61&gt;0,B61/A61,"")</f>
        <v/>
      </c>
      <c r="F61" s="12">
        <f>curve_a*curve_k/(curve_k+A61)^2</f>
        <v/>
      </c>
      <c r="G61" s="12">
        <f>IF(cm&gt;0,1/cm,"")</f>
        <v/>
      </c>
    </row>
    <row r="62">
      <c r="A62" s="11">
        <f>58*step</f>
        <v/>
      </c>
      <c r="B62" s="11">
        <f>curve_a*A62/(curve_k+A62)</f>
        <v/>
      </c>
      <c r="C62" s="11">
        <f>cm*B62</f>
        <v/>
      </c>
      <c r="D62" s="11">
        <f>C62-A62</f>
        <v/>
      </c>
      <c r="E62" s="12">
        <f>IF(A62&gt;0,B62/A62,"")</f>
        <v/>
      </c>
      <c r="F62" s="12">
        <f>curve_a*curve_k/(curve_k+A62)^2</f>
        <v/>
      </c>
      <c r="G62" s="12">
        <f>IF(cm&gt;0,1/cm,"")</f>
        <v/>
      </c>
    </row>
    <row r="63">
      <c r="A63" s="11">
        <f>59*step</f>
        <v/>
      </c>
      <c r="B63" s="11">
        <f>curve_a*A63/(curve_k+A63)</f>
        <v/>
      </c>
      <c r="C63" s="11">
        <f>cm*B63</f>
        <v/>
      </c>
      <c r="D63" s="11">
        <f>C63-A63</f>
        <v/>
      </c>
      <c r="E63" s="12">
        <f>IF(A63&gt;0,B63/A63,"")</f>
        <v/>
      </c>
      <c r="F63" s="12">
        <f>curve_a*curve_k/(curve_k+A63)^2</f>
        <v/>
      </c>
      <c r="G63" s="12">
        <f>IF(cm&gt;0,1/cm,"")</f>
        <v/>
      </c>
    </row>
    <row r="64">
      <c r="A64" s="11">
        <f>60*step</f>
        <v/>
      </c>
      <c r="B64" s="11">
        <f>curve_a*A64/(curve_k+A64)</f>
        <v/>
      </c>
      <c r="C64" s="11">
        <f>cm*B64</f>
        <v/>
      </c>
      <c r="D64" s="11">
        <f>C64-A64</f>
        <v/>
      </c>
      <c r="E64" s="12">
        <f>IF(A64&gt;0,B64/A64,"")</f>
        <v/>
      </c>
      <c r="F64" s="12">
        <f>curve_a*curve_k/(curve_k+A64)^2</f>
        <v/>
      </c>
      <c r="G64" s="12">
        <f>IF(cm&gt;0,1/cm,"")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2026-10-25T01:07:33Z</dcterms:created>
  <dcterms:modified xmlns:dcterms="http://purl.org/dc/terms/" xmlns:xsi="http://www.w3.org/2001/XMLSchema-instance" xsi:type="dcterms:W3CDTF">2026-10-25T01:07:33Z</dcterms:modified>
</cp:coreProperties>
</file>